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01" windowWidth="5550" windowHeight="3705" activeTab="1"/>
  </bookViews>
  <sheets>
    <sheet name="FIGURE 2" sheetId="1" r:id="rId1"/>
    <sheet name="FIGURE 1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<sst xmlns="http://schemas.openxmlformats.org/spreadsheetml/2006/main" count="111" uniqueCount="80">
  <si>
    <t>Electric</t>
  </si>
  <si>
    <t>LIGHTING</t>
  </si>
  <si>
    <t xml:space="preserve">Location and Equipment name </t>
  </si>
  <si>
    <t>Fixtures</t>
  </si>
  <si>
    <t>Lamps per Fixture</t>
  </si>
  <si>
    <t>A/C (Y/N)</t>
  </si>
  <si>
    <t>Estimated ballast factor</t>
  </si>
  <si>
    <t>kW</t>
  </si>
  <si>
    <t>kWh</t>
  </si>
  <si>
    <t>Estimated Annual Cost            ($/yr)</t>
  </si>
  <si>
    <t>Office</t>
  </si>
  <si>
    <t>Office lighting sub-total:</t>
  </si>
  <si>
    <t>Saw Mill</t>
  </si>
  <si>
    <t>Saw mill lighting sub-total:</t>
  </si>
  <si>
    <t>LIGHTING TOTALS:</t>
  </si>
  <si>
    <t>MOTORS</t>
  </si>
  <si>
    <t>Location and Equipment Name</t>
  </si>
  <si>
    <t>HP (rated)</t>
  </si>
  <si>
    <t>units</t>
  </si>
  <si>
    <t>hours per year</t>
  </si>
  <si>
    <t>lf</t>
  </si>
  <si>
    <t>uf</t>
  </si>
  <si>
    <t>df</t>
  </si>
  <si>
    <t>Estimated Efficiency</t>
  </si>
  <si>
    <t>Number of  Belts</t>
  </si>
  <si>
    <t>Saw mill motors sub-total:</t>
  </si>
  <si>
    <t>Miscellaneous</t>
  </si>
  <si>
    <t>Miscellaneous motors sub-total:</t>
  </si>
  <si>
    <t>MOTORS TOTALS:</t>
  </si>
  <si>
    <t>AIR-CONDITIONING</t>
  </si>
  <si>
    <t>Tons</t>
  </si>
  <si>
    <t>SEER</t>
  </si>
  <si>
    <t>A/C sub-total:</t>
  </si>
  <si>
    <t>Average COP:</t>
  </si>
  <si>
    <t>A/C TOTALS:</t>
  </si>
  <si>
    <t>AIR COMPRESSORS</t>
  </si>
  <si>
    <t>Number of Belts</t>
  </si>
  <si>
    <t>AIR COMPRESSOR TOTALS</t>
  </si>
  <si>
    <t>CALCULATED FIGURES</t>
  </si>
  <si>
    <t>ESTIMATED MISCELLANEOUS</t>
  </si>
  <si>
    <t>TOTALS</t>
  </si>
  <si>
    <t>MIN ACTUAL kW</t>
  </si>
  <si>
    <t>MAX ACTUAL kW</t>
  </si>
  <si>
    <t>ACTUAL kWh | Cost</t>
  </si>
  <si>
    <t>ERROR IN kWh | Cost</t>
  </si>
  <si>
    <t>=total kW x Estimated hours per year</t>
  </si>
  <si>
    <t>= kW x $/kW/month x 12 months/yr + kWh x $/kWh</t>
  </si>
  <si>
    <t>Lighting</t>
  </si>
  <si>
    <t>= (Hp x number of units x lf x 0.746 x df)/ Efficiency</t>
  </si>
  <si>
    <t>= kW x hours per year x uf / df</t>
  </si>
  <si>
    <t>= kW x CDD / df</t>
  </si>
  <si>
    <t>= tons/unit x number of units x 12 x df / SEER</t>
  </si>
  <si>
    <t>= (Hp/unit x number of units x lf x 0.746 x df)/ Efficiency</t>
  </si>
  <si>
    <t xml:space="preserve">=kW/lamp x Number of Fixtures x Number of Lamps per fixture x  (Ballast factor + 1) </t>
  </si>
  <si>
    <t>W</t>
  </si>
  <si>
    <t xml:space="preserve">Est. hours per year lights used </t>
  </si>
  <si>
    <t xml:space="preserve">Est. hours per year area used </t>
  </si>
  <si>
    <t>Lighting line item</t>
  </si>
  <si>
    <t>Motor line item</t>
  </si>
  <si>
    <t>A/C line item</t>
  </si>
  <si>
    <t>Air Compressors  line item</t>
  </si>
  <si>
    <t>Est. Efficiency</t>
  </si>
  <si>
    <t xml:space="preserve">EQUIPMENT LIST AND ENERGY BALANCE </t>
  </si>
  <si>
    <t>Conference room, 8' fluorescent</t>
  </si>
  <si>
    <t>Y</t>
  </si>
  <si>
    <t>Lobby and hallway, 8' fluorescent</t>
  </si>
  <si>
    <t>Saw mill, 8' fluorescent</t>
  </si>
  <si>
    <t>N</t>
  </si>
  <si>
    <t>Saw shack, incandescent</t>
  </si>
  <si>
    <t>Head saw, halogen spotlight</t>
  </si>
  <si>
    <t>Saw mill, HPS</t>
  </si>
  <si>
    <t>Chipping edger</t>
  </si>
  <si>
    <t>Head saw</t>
  </si>
  <si>
    <t>Log trimmer</t>
  </si>
  <si>
    <t>Conveyor</t>
  </si>
  <si>
    <t>Drying room fans</t>
  </si>
  <si>
    <t>Scragger booth, window unit</t>
  </si>
  <si>
    <t>Maintenance shop</t>
  </si>
  <si>
    <t>Saw mill</t>
  </si>
  <si>
    <t xml:space="preserve">FIGURE 1 - ENERGY BALANCE -- ELECTRICAL EQUIPMENT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</si>
</sst>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0.00_)"/>
    <numFmt numFmtId="167" formatCode="_(* #,##0_);_(* \(#,##0\);_(* &quot;-&quot;??_);_(@_)"/>
    <numFmt numFmtId="168" formatCode="0.0"/>
    <numFmt numFmtId="169" formatCode="#,##0.0_);\(#,##0.0\)"/>
    <numFmt numFmtId="170" formatCode="_(* #,##0.0_);_(* \(#,##0.0\);_(* &quot;-&quot;?_);_(@_)"/>
    <numFmt numFmtId="171" formatCode="_(* #,##0.000_);_(* \(#,##0.000\);_(* &quot;-&quot;???_);_(@_)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1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0"/>
      <name val="Arial"/>
      <family val="0"/>
    </font>
    <font>
      <sz val="20"/>
      <name val="Arial"/>
      <family val="0"/>
    </font>
    <font>
      <b/>
      <sz val="16.25"/>
      <name val="Arial"/>
      <family val="2"/>
    </font>
    <font>
      <sz val="14.2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 applyProtection="1">
      <alignment horizontal="left" wrapText="1"/>
      <protection/>
    </xf>
    <xf numFmtId="164" fontId="2" fillId="0" borderId="1" xfId="0" applyNumberFormat="1" applyFont="1" applyBorder="1" applyAlignment="1" applyProtection="1">
      <alignment horizontal="center" wrapText="1"/>
      <protection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>
      <alignment horizontal="center" wrapText="1"/>
    </xf>
    <xf numFmtId="43" fontId="2" fillId="0" borderId="1" xfId="0" applyNumberFormat="1" applyFont="1" applyBorder="1" applyAlignment="1" applyProtection="1">
      <alignment horizontal="center" wrapText="1"/>
      <protection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7" fontId="1" fillId="0" borderId="1" xfId="15" applyNumberFormat="1" applyFont="1" applyBorder="1" applyAlignment="1" applyProtection="1">
      <alignment horizontal="center"/>
      <protection/>
    </xf>
    <xf numFmtId="165" fontId="1" fillId="0" borderId="1" xfId="15" applyNumberFormat="1" applyFont="1" applyBorder="1" applyAlignment="1" applyProtection="1">
      <alignment horizontal="center"/>
      <protection/>
    </xf>
    <xf numFmtId="43" fontId="1" fillId="0" borderId="1" xfId="15" applyNumberFormat="1" applyFont="1" applyBorder="1" applyAlignment="1" applyProtection="1">
      <alignment horizontal="center"/>
      <protection/>
    </xf>
    <xf numFmtId="167" fontId="1" fillId="0" borderId="1" xfId="15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7" fontId="2" fillId="0" borderId="1" xfId="15" applyNumberFormat="1" applyFont="1" applyBorder="1" applyAlignment="1" applyProtection="1">
      <alignment horizontal="center"/>
      <protection/>
    </xf>
    <xf numFmtId="167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167" fontId="4" fillId="0" borderId="1" xfId="15" applyNumberFormat="1" applyFont="1" applyBorder="1" applyAlignment="1" applyProtection="1">
      <alignment horizontal="center"/>
      <protection/>
    </xf>
    <xf numFmtId="167" fontId="4" fillId="0" borderId="1" xfId="15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2" fillId="0" borderId="0" xfId="15" applyNumberFormat="1" applyFont="1" applyBorder="1" applyAlignment="1" applyProtection="1">
      <alignment horizontal="center"/>
      <protection/>
    </xf>
    <xf numFmtId="43" fontId="1" fillId="0" borderId="0" xfId="15" applyFont="1" applyBorder="1" applyAlignment="1">
      <alignment/>
    </xf>
    <xf numFmtId="4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 horizontal="center" wrapText="1"/>
      <protection/>
    </xf>
    <xf numFmtId="167" fontId="3" fillId="0" borderId="1" xfId="15" applyNumberFormat="1" applyFont="1" applyBorder="1" applyAlignment="1" applyProtection="1">
      <alignment horizontal="center"/>
      <protection/>
    </xf>
    <xf numFmtId="165" fontId="3" fillId="0" borderId="1" xfId="15" applyNumberFormat="1" applyFont="1" applyBorder="1" applyAlignment="1" applyProtection="1">
      <alignment horizontal="center"/>
      <protection/>
    </xf>
    <xf numFmtId="165" fontId="4" fillId="0" borderId="2" xfId="15" applyNumberFormat="1" applyFont="1" applyBorder="1" applyAlignment="1" applyProtection="1">
      <alignment horizontal="center"/>
      <protection/>
    </xf>
    <xf numFmtId="167" fontId="4" fillId="0" borderId="2" xfId="15" applyNumberFormat="1" applyFont="1" applyBorder="1" applyAlignment="1" applyProtection="1">
      <alignment horizontal="center"/>
      <protection/>
    </xf>
    <xf numFmtId="165" fontId="2" fillId="0" borderId="1" xfId="15" applyNumberFormat="1" applyFont="1" applyBorder="1" applyAlignment="1" applyProtection="1">
      <alignment horizontal="center"/>
      <protection/>
    </xf>
    <xf numFmtId="167" fontId="3" fillId="0" borderId="1" xfId="15" applyNumberFormat="1" applyFont="1" applyBorder="1" applyAlignment="1" applyProtection="1">
      <alignment horizontal="center" wrapText="1"/>
      <protection/>
    </xf>
    <xf numFmtId="167" fontId="2" fillId="0" borderId="1" xfId="15" applyNumberFormat="1" applyFont="1" applyBorder="1" applyAlignment="1">
      <alignment horizontal="center"/>
    </xf>
    <xf numFmtId="167" fontId="1" fillId="0" borderId="0" xfId="15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43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164" fontId="2" fillId="0" borderId="1" xfId="0" applyNumberFormat="1" applyFont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>
      <alignment wrapText="1"/>
    </xf>
    <xf numFmtId="165" fontId="2" fillId="0" borderId="4" xfId="15" applyNumberFormat="1" applyFont="1" applyBorder="1" applyAlignment="1" applyProtection="1">
      <alignment horizontal="center"/>
      <protection/>
    </xf>
    <xf numFmtId="164" fontId="2" fillId="0" borderId="4" xfId="0" applyNumberFormat="1" applyFont="1" applyBorder="1" applyAlignment="1" applyProtection="1">
      <alignment horizontal="center"/>
      <protection/>
    </xf>
    <xf numFmtId="43" fontId="2" fillId="0" borderId="1" xfId="0" applyNumberFormat="1" applyFont="1" applyBorder="1" applyAlignment="1" applyProtection="1">
      <alignment horizontal="center"/>
      <protection/>
    </xf>
    <xf numFmtId="168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15" applyNumberFormat="1" applyFont="1" applyBorder="1" applyAlignment="1" applyProtection="1">
      <alignment horizontal="center"/>
      <protection/>
    </xf>
    <xf numFmtId="167" fontId="2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/>
    </xf>
    <xf numFmtId="167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 applyProtection="1">
      <alignment horizontal="center"/>
      <protection/>
    </xf>
    <xf numFmtId="37" fontId="2" fillId="0" borderId="1" xfId="0" applyNumberFormat="1" applyFont="1" applyBorder="1" applyAlignment="1" applyProtection="1">
      <alignment horizontal="center"/>
      <protection/>
    </xf>
    <xf numFmtId="167" fontId="1" fillId="0" borderId="5" xfId="15" applyNumberFormat="1" applyFont="1" applyBorder="1" applyAlignment="1">
      <alignment horizontal="center"/>
    </xf>
    <xf numFmtId="37" fontId="1" fillId="0" borderId="1" xfId="0" applyNumberFormat="1" applyFont="1" applyBorder="1" applyAlignment="1" applyProtection="1">
      <alignment horizontal="center"/>
      <protection/>
    </xf>
    <xf numFmtId="9" fontId="1" fillId="0" borderId="5" xfId="0" applyNumberFormat="1" applyFont="1" applyBorder="1" applyAlignment="1" applyProtection="1">
      <alignment horizontal="center"/>
      <protection/>
    </xf>
    <xf numFmtId="10" fontId="1" fillId="0" borderId="1" xfId="21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 quotePrefix="1">
      <alignment wrapText="1"/>
    </xf>
    <xf numFmtId="43" fontId="1" fillId="0" borderId="1" xfId="15" applyNumberFormat="1" applyFont="1" applyBorder="1" applyAlignment="1" applyProtection="1" quotePrefix="1">
      <alignment horizontal="center" wrapText="1"/>
      <protection locked="0"/>
    </xf>
    <xf numFmtId="167" fontId="3" fillId="0" borderId="2" xfId="15" applyNumberFormat="1" applyFont="1" applyBorder="1" applyAlignment="1" applyProtection="1">
      <alignment horizontal="center"/>
      <protection/>
    </xf>
    <xf numFmtId="165" fontId="3" fillId="0" borderId="2" xfId="15" applyNumberFormat="1" applyFont="1" applyBorder="1" applyAlignment="1" applyProtection="1">
      <alignment horizontal="center"/>
      <protection/>
    </xf>
    <xf numFmtId="165" fontId="1" fillId="0" borderId="2" xfId="15" applyNumberFormat="1" applyFont="1" applyBorder="1" applyAlignment="1" applyProtection="1">
      <alignment horizontal="center"/>
      <protection/>
    </xf>
    <xf numFmtId="43" fontId="1" fillId="0" borderId="2" xfId="15" applyNumberFormat="1" applyFont="1" applyBorder="1" applyAlignment="1" applyProtection="1">
      <alignment horizontal="center"/>
      <protection/>
    </xf>
    <xf numFmtId="167" fontId="1" fillId="0" borderId="1" xfId="15" applyNumberFormat="1" applyFont="1" applyBorder="1" applyAlignment="1" applyProtection="1" quotePrefix="1">
      <alignment horizontal="center" wrapText="1"/>
      <protection locked="0"/>
    </xf>
    <xf numFmtId="164" fontId="2" fillId="0" borderId="0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wrapText="1"/>
    </xf>
    <xf numFmtId="43" fontId="1" fillId="0" borderId="0" xfId="0" applyNumberFormat="1" applyFont="1" applyBorder="1" applyAlignment="1">
      <alignment/>
    </xf>
    <xf numFmtId="167" fontId="1" fillId="0" borderId="0" xfId="15" applyNumberFormat="1" applyFont="1" applyBorder="1" applyAlignment="1" applyProtection="1">
      <alignment horizontal="center"/>
      <protection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7" fontId="2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4" fontId="2" fillId="0" borderId="1" xfId="15" applyNumberFormat="1" applyFont="1" applyBorder="1" applyAlignment="1" applyProtection="1">
      <alignment horizontal="center"/>
      <protection/>
    </xf>
    <xf numFmtId="165" fontId="1" fillId="0" borderId="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7" fontId="2" fillId="0" borderId="1" xfId="0" applyNumberFormat="1" applyFont="1" applyBorder="1" applyAlignment="1" applyProtection="1">
      <alignment horizontal="center"/>
      <protection/>
    </xf>
    <xf numFmtId="172" fontId="1" fillId="0" borderId="1" xfId="21" applyNumberFormat="1" applyFont="1" applyBorder="1" applyAlignment="1" applyProtection="1">
      <alignment horizontal="center"/>
      <protection/>
    </xf>
    <xf numFmtId="165" fontId="1" fillId="0" borderId="1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43" fontId="1" fillId="0" borderId="2" xfId="0" applyNumberFormat="1" applyFont="1" applyBorder="1" applyAlignment="1">
      <alignment horizontal="center" wrapText="1"/>
    </xf>
    <xf numFmtId="43" fontId="1" fillId="0" borderId="1" xfId="0" applyNumberFormat="1" applyFont="1" applyBorder="1" applyAlignment="1" applyProtection="1" quotePrefix="1">
      <alignment horizontal="center" wrapText="1"/>
      <protection locked="0"/>
    </xf>
    <xf numFmtId="3" fontId="1" fillId="0" borderId="1" xfId="0" applyNumberFormat="1" applyFont="1" applyBorder="1" applyAlignment="1" applyProtection="1" quotePrefix="1">
      <alignment horizontal="center" wrapText="1"/>
      <protection locked="0"/>
    </xf>
    <xf numFmtId="174" fontId="0" fillId="0" borderId="0" xfId="17" applyNumberFormat="1" applyAlignment="1">
      <alignment/>
    </xf>
    <xf numFmtId="174" fontId="0" fillId="0" borderId="7" xfId="0" applyNumberFormat="1" applyBorder="1" applyAlignment="1">
      <alignment/>
    </xf>
    <xf numFmtId="9" fontId="0" fillId="0" borderId="0" xfId="2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9" fontId="1" fillId="0" borderId="0" xfId="0" applyNumberFormat="1" applyFont="1" applyBorder="1" applyAlignment="1" applyProtection="1">
      <alignment horizontal="center"/>
      <protection/>
    </xf>
    <xf numFmtId="172" fontId="1" fillId="0" borderId="0" xfId="21" applyNumberFormat="1" applyFont="1" applyBorder="1" applyAlignment="1" applyProtection="1">
      <alignment horizontal="center"/>
      <protection/>
    </xf>
    <xf numFmtId="10" fontId="1" fillId="0" borderId="0" xfId="21" applyNumberFormat="1" applyFont="1" applyBorder="1" applyAlignment="1" applyProtection="1">
      <alignment horizontal="center"/>
      <protection/>
    </xf>
    <xf numFmtId="167" fontId="4" fillId="0" borderId="0" xfId="15" applyNumberFormat="1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/>
      <protection/>
    </xf>
    <xf numFmtId="167" fontId="4" fillId="0" borderId="0" xfId="15" applyNumberFormat="1" applyFont="1" applyBorder="1" applyAlignment="1">
      <alignment/>
    </xf>
    <xf numFmtId="0" fontId="1" fillId="0" borderId="4" xfId="0" applyFont="1" applyBorder="1" applyAlignment="1" quotePrefix="1">
      <alignment wrapText="1"/>
    </xf>
    <xf numFmtId="0" fontId="0" fillId="0" borderId="8" xfId="0" applyBorder="1" applyAlignment="1">
      <alignment wrapText="1"/>
    </xf>
    <xf numFmtId="167" fontId="1" fillId="0" borderId="4" xfId="15" applyNumberFormat="1" applyFont="1" applyBorder="1" applyAlignment="1" applyProtection="1" quotePrefix="1">
      <alignment horizontal="center" wrapText="1"/>
      <protection locked="0"/>
    </xf>
    <xf numFmtId="0" fontId="0" fillId="0" borderId="8" xfId="0" applyBorder="1" applyAlignment="1">
      <alignment horizontal="center" wrapText="1"/>
    </xf>
    <xf numFmtId="43" fontId="1" fillId="0" borderId="4" xfId="15" applyNumberFormat="1" applyFont="1" applyBorder="1" applyAlignment="1" applyProtection="1" quotePrefix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left" wrapText="1"/>
      <protection/>
    </xf>
    <xf numFmtId="0" fontId="8" fillId="0" borderId="0" xfId="0" applyFont="1" applyAlignment="1">
      <alignment/>
    </xf>
    <xf numFmtId="43" fontId="1" fillId="0" borderId="4" xfId="0" applyNumberFormat="1" applyFont="1" applyBorder="1" applyAlignment="1" quotePrefix="1">
      <alignment horizontal="center" wrapText="1"/>
    </xf>
    <xf numFmtId="0" fontId="0" fillId="0" borderId="9" xfId="0" applyBorder="1" applyAlignment="1">
      <alignment wrapText="1"/>
    </xf>
    <xf numFmtId="3" fontId="1" fillId="0" borderId="4" xfId="0" applyNumberFormat="1" applyFont="1" applyBorder="1" applyAlignment="1" quotePrefix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FIGURE 2: ESTIMATED COST OF OPERATION BY TYPE OF ELECTRIC DEVICE</a:t>
            </a:r>
          </a:p>
        </c:rich>
      </c:tx>
      <c:layout>
        <c:manualLayout>
          <c:xMode val="factor"/>
          <c:yMode val="factor"/>
          <c:x val="0"/>
          <c:y val="0.823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31325"/>
          <c:w val="0.5435"/>
          <c:h val="0.51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'FIGURE 2'!$A$1:$B$4</c:f>
              <c:multiLvlStrCache>
                <c:ptCount val="4"/>
                <c:lvl>
                  <c:pt idx="0">
                    <c:v>LIGHTING</c:v>
                  </c:pt>
                  <c:pt idx="1">
                    <c:v>MOTORS</c:v>
                  </c:pt>
                  <c:pt idx="2">
                    <c:v>AIR-CONDITIONING</c:v>
                  </c:pt>
                  <c:pt idx="3">
                    <c:v>AIR COMPRESSORS</c:v>
                  </c:pt>
                </c:lvl>
                <c:lvl>
                  <c:pt idx="0">
                    <c:v> $687 </c:v>
                  </c:pt>
                  <c:pt idx="1">
                    <c:v> $25,514 </c:v>
                  </c:pt>
                  <c:pt idx="2">
                    <c:v> $9,005 </c:v>
                  </c:pt>
                  <c:pt idx="3">
                    <c:v> $2,777 </c:v>
                  </c:pt>
                </c:lvl>
              </c:multiLvlStrCache>
            </c:multiLvlStrRef>
          </c:cat>
          <c:val>
            <c:numRef>
              <c:f>'FIGURE 2'!$A$1:$A$4</c:f>
              <c:numCache>
                <c:ptCount val="4"/>
                <c:pt idx="0">
                  <c:v>686.7121473195178</c:v>
                </c:pt>
                <c:pt idx="1">
                  <c:v>25514.095235000932</c:v>
                </c:pt>
                <c:pt idx="2">
                  <c:v>9004.5</c:v>
                </c:pt>
                <c:pt idx="3">
                  <c:v>2777.4307442495083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13</xdr:col>
      <xdr:colOff>514350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57150" y="0"/>
        <a:ext cx="92583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F\CH3_PL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F\CH3_SA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UF\New_bal%20Tat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 Bills"/>
      <sheetName val="Individual"/>
      <sheetName val="3 - 2"/>
      <sheetName val="Electric Consumption Chart (2)"/>
      <sheetName val="Monthly Peak Demand Chart (2)"/>
      <sheetName val="Total Electric Costs Chart (2)"/>
      <sheetName val="Nitrogen Consumption"/>
      <sheetName val="3 - 7"/>
      <sheetName val="Nitrogen Consumption Chart"/>
      <sheetName val="Nitrogen Cost Chart"/>
      <sheetName val="Gas Bills"/>
      <sheetName val="3 - 11"/>
      <sheetName val="Nat Gas Costs Chart"/>
      <sheetName val="Nat Gas Consumption Chart"/>
      <sheetName val="totals"/>
      <sheetName val="Energy Dist. Chart"/>
      <sheetName val="Sheet2"/>
      <sheetName val="Sheet3"/>
    </sheetNames>
    <sheetDataSet>
      <sheetData sheetId="0">
        <row r="34">
          <cell r="J34">
            <v>8.327639921723277</v>
          </cell>
        </row>
        <row r="35">
          <cell r="J35">
            <v>0.047420781065232176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ctric Bills"/>
      <sheetName val="Individual"/>
      <sheetName val="3 - 2"/>
      <sheetName val="Electric Consumption Chart (2)"/>
      <sheetName val="Monthly Peak Demand Chart (2)"/>
      <sheetName val="Total Electric Costs Chart (2)"/>
      <sheetName val="Nitrogen Consumption"/>
      <sheetName val="3 - 7"/>
      <sheetName val="Nitrogen Consumption Chart"/>
      <sheetName val="Nitrogen Cost Chart"/>
      <sheetName val="Gas Bills"/>
      <sheetName val="3 - 11"/>
      <sheetName val="Nat Gas Costs Chart"/>
      <sheetName val="Nat Gas Consumption Chart"/>
      <sheetName val="totals"/>
      <sheetName val="Energy Dist. Chart"/>
      <sheetName val="Sheet2"/>
      <sheetName val="Sheet3"/>
    </sheetNames>
    <sheetDataSet>
      <sheetData sheetId="0">
        <row r="34">
          <cell r="J34">
            <v>5.9723348574463735</v>
          </cell>
        </row>
        <row r="35">
          <cell r="J35">
            <v>0.04555595591570511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balance"/>
      <sheetName val="Chart Data"/>
      <sheetName val="$ dist. chart"/>
      <sheetName val="Man vs. non-man chart"/>
      <sheetName val="percent chart"/>
      <sheetName val="Motors(High)"/>
      <sheetName val="Motors(Rewind)"/>
      <sheetName val="Motors(Final)"/>
      <sheetName val="Motor Efficiencies"/>
      <sheetName val="DATA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2">
          <cell r="A2">
            <v>0</v>
          </cell>
          <cell r="B2">
            <v>0.825</v>
          </cell>
        </row>
        <row r="3">
          <cell r="A3">
            <v>1</v>
          </cell>
          <cell r="B3">
            <v>0.825</v>
          </cell>
        </row>
        <row r="4">
          <cell r="A4">
            <v>1.5</v>
          </cell>
          <cell r="B4">
            <v>0.84</v>
          </cell>
        </row>
        <row r="5">
          <cell r="A5">
            <v>2</v>
          </cell>
          <cell r="B5">
            <v>0.84</v>
          </cell>
        </row>
        <row r="6">
          <cell r="A6">
            <v>3</v>
          </cell>
          <cell r="B6">
            <v>0.875</v>
          </cell>
        </row>
        <row r="7">
          <cell r="A7">
            <v>5</v>
          </cell>
          <cell r="B7">
            <v>0.875</v>
          </cell>
        </row>
        <row r="8">
          <cell r="A8">
            <v>7.5</v>
          </cell>
          <cell r="B8">
            <v>0.895</v>
          </cell>
        </row>
        <row r="9">
          <cell r="A9">
            <v>10</v>
          </cell>
          <cell r="B9">
            <v>0.895</v>
          </cell>
        </row>
        <row r="10">
          <cell r="A10">
            <v>15</v>
          </cell>
          <cell r="B10">
            <v>0.91</v>
          </cell>
        </row>
        <row r="11">
          <cell r="A11">
            <v>20</v>
          </cell>
          <cell r="B11">
            <v>0.91</v>
          </cell>
        </row>
        <row r="12">
          <cell r="A12">
            <v>25</v>
          </cell>
          <cell r="B12">
            <v>0.924</v>
          </cell>
        </row>
        <row r="13">
          <cell r="A13">
            <v>30</v>
          </cell>
          <cell r="B13">
            <v>0.924</v>
          </cell>
        </row>
        <row r="14">
          <cell r="A14">
            <v>40</v>
          </cell>
          <cell r="B14">
            <v>0.93</v>
          </cell>
        </row>
        <row r="15">
          <cell r="A15">
            <v>50</v>
          </cell>
          <cell r="B15">
            <v>0.93</v>
          </cell>
        </row>
        <row r="16">
          <cell r="A16">
            <v>60</v>
          </cell>
          <cell r="B16">
            <v>0.9359999999999999</v>
          </cell>
        </row>
        <row r="17">
          <cell r="A17">
            <v>75</v>
          </cell>
          <cell r="B17">
            <v>0.941</v>
          </cell>
        </row>
        <row r="18">
          <cell r="A18">
            <v>100</v>
          </cell>
          <cell r="B18">
            <v>0.945</v>
          </cell>
        </row>
        <row r="19">
          <cell r="A19">
            <v>125</v>
          </cell>
          <cell r="B19">
            <v>0.945</v>
          </cell>
        </row>
        <row r="20">
          <cell r="A20">
            <v>150</v>
          </cell>
          <cell r="B20">
            <v>0.95</v>
          </cell>
        </row>
        <row r="21">
          <cell r="A21">
            <v>200</v>
          </cell>
          <cell r="B21">
            <v>0.95</v>
          </cell>
        </row>
        <row r="22">
          <cell r="A22">
            <v>250</v>
          </cell>
          <cell r="B22">
            <v>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M35" sqref="M35"/>
    </sheetView>
  </sheetViews>
  <sheetFormatPr defaultColWidth="9.140625" defaultRowHeight="12.75"/>
  <cols>
    <col min="1" max="1" width="11.28125" style="0" customWidth="1"/>
    <col min="2" max="2" width="20.140625" style="0" customWidth="1"/>
  </cols>
  <sheetData>
    <row r="1" spans="1:3" ht="12.75">
      <c r="A1" s="111">
        <f>+'FIGURE 1'!L17</f>
        <v>686.7121473195178</v>
      </c>
      <c r="B1" t="str">
        <f>+'FIGURE 1'!A3</f>
        <v>LIGHTING</v>
      </c>
      <c r="C1" s="113">
        <f>+A1/$A$5</f>
        <v>0.01807958512709604</v>
      </c>
    </row>
    <row r="2" spans="1:3" ht="12.75">
      <c r="A2" s="111">
        <f>+'FIGURE 1'!L33</f>
        <v>25514.095235000932</v>
      </c>
      <c r="B2" t="str">
        <f>+'FIGURE 1'!A18</f>
        <v>MOTORS</v>
      </c>
      <c r="C2" s="113">
        <f>+A2/$A$5</f>
        <v>0.6717286981781109</v>
      </c>
    </row>
    <row r="3" spans="1:3" ht="12.75">
      <c r="A3" s="111">
        <f>+'FIGURE 1'!L40</f>
        <v>9004.5</v>
      </c>
      <c r="B3" t="str">
        <f>+'FIGURE 1'!A34</f>
        <v>AIR-CONDITIONING</v>
      </c>
      <c r="C3" s="113">
        <f>+A3/$A$5</f>
        <v>0.2370682168830032</v>
      </c>
    </row>
    <row r="4" spans="1:3" ht="12.75">
      <c r="A4" s="111">
        <f>+'FIGURE 1'!L46</f>
        <v>2777.4307442495083</v>
      </c>
      <c r="B4" t="str">
        <f>+'FIGURE 1'!A41</f>
        <v>AIR COMPRESSORS</v>
      </c>
      <c r="C4" s="113">
        <f>+A4/$A$5</f>
        <v>0.07312349981179005</v>
      </c>
    </row>
    <row r="5" ht="13.5" thickBot="1">
      <c r="A5" s="112">
        <f>SUM(A1:A4)</f>
        <v>37982.73812656995</v>
      </c>
    </row>
    <row r="6" ht="13.5" thickTop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0" zoomScaleNormal="110" zoomScaleSheetLayoutView="75" workbookViewId="0" topLeftCell="A1">
      <selection activeCell="A1" sqref="A1:F1"/>
    </sheetView>
  </sheetViews>
  <sheetFormatPr defaultColWidth="9.140625" defaultRowHeight="12.75"/>
  <cols>
    <col min="1" max="1" width="14.57421875" style="0" customWidth="1"/>
    <col min="2" max="2" width="8.8515625" style="0" customWidth="1"/>
    <col min="3" max="3" width="8.140625" style="0" customWidth="1"/>
    <col min="4" max="4" width="8.7109375" style="0" customWidth="1"/>
    <col min="5" max="5" width="9.57421875" style="0" customWidth="1"/>
    <col min="6" max="6" width="8.57421875" style="0" customWidth="1"/>
    <col min="7" max="7" width="6.57421875" style="0" customWidth="1"/>
    <col min="8" max="8" width="8.7109375" style="0" customWidth="1"/>
    <col min="9" max="9" width="7.57421875" style="0" customWidth="1"/>
    <col min="10" max="10" width="16.421875" style="0" customWidth="1"/>
    <col min="11" max="11" width="10.8515625" style="0" customWidth="1"/>
    <col min="12" max="12" width="11.57421875" style="0" customWidth="1"/>
  </cols>
  <sheetData>
    <row r="1" spans="1:12" ht="15.75" customHeight="1">
      <c r="A1" s="127" t="s">
        <v>62</v>
      </c>
      <c r="B1" s="128"/>
      <c r="C1" s="128"/>
      <c r="D1" s="128"/>
      <c r="E1" s="128"/>
      <c r="F1" s="128"/>
      <c r="G1" s="3"/>
      <c r="H1" s="4"/>
      <c r="I1" s="4"/>
      <c r="J1" s="5"/>
      <c r="K1" s="7"/>
      <c r="L1" s="8"/>
    </row>
    <row r="2" spans="1:12" ht="15.75">
      <c r="A2" s="88" t="s">
        <v>0</v>
      </c>
      <c r="B2" s="2"/>
      <c r="C2" s="1"/>
      <c r="D2" s="1"/>
      <c r="E2" s="1"/>
      <c r="F2" s="1"/>
      <c r="G2" s="3"/>
      <c r="H2" s="4"/>
      <c r="I2" s="4"/>
      <c r="J2" s="6"/>
      <c r="K2" s="8"/>
      <c r="L2" s="8"/>
    </row>
    <row r="3" spans="1:12" ht="12.75">
      <c r="A3" s="9" t="s">
        <v>1</v>
      </c>
      <c r="B3" s="2"/>
      <c r="C3" s="1"/>
      <c r="D3" s="1"/>
      <c r="E3" s="1"/>
      <c r="F3" s="1"/>
      <c r="G3" s="3"/>
      <c r="H3" s="4"/>
      <c r="I3" s="4"/>
      <c r="J3" s="5"/>
      <c r="K3" s="7"/>
      <c r="L3" s="8"/>
    </row>
    <row r="4" spans="1:12" ht="32.25">
      <c r="A4" s="11" t="s">
        <v>2</v>
      </c>
      <c r="B4" s="10" t="s">
        <v>54</v>
      </c>
      <c r="C4" s="10" t="s">
        <v>3</v>
      </c>
      <c r="D4" s="10" t="s">
        <v>4</v>
      </c>
      <c r="E4" s="10" t="s">
        <v>55</v>
      </c>
      <c r="F4" s="10" t="s">
        <v>56</v>
      </c>
      <c r="G4" s="12" t="s">
        <v>5</v>
      </c>
      <c r="H4" s="13" t="s">
        <v>6</v>
      </c>
      <c r="I4" s="13"/>
      <c r="J4" s="14" t="s">
        <v>7</v>
      </c>
      <c r="K4" s="16" t="s">
        <v>8</v>
      </c>
      <c r="L4" s="11" t="s">
        <v>9</v>
      </c>
    </row>
    <row r="5" spans="1:12" s="105" customFormat="1" ht="12.75" customHeight="1">
      <c r="A5" s="17" t="s">
        <v>47</v>
      </c>
      <c r="B5" s="15"/>
      <c r="C5" s="15"/>
      <c r="D5" s="15"/>
      <c r="E5" s="15"/>
      <c r="F5" s="15"/>
      <c r="G5" s="103"/>
      <c r="H5" s="104"/>
      <c r="I5" s="104"/>
      <c r="J5" s="129" t="s">
        <v>53</v>
      </c>
      <c r="K5" s="131" t="s">
        <v>45</v>
      </c>
      <c r="L5" s="122" t="s">
        <v>46</v>
      </c>
    </row>
    <row r="6" spans="1:12" s="105" customFormat="1" ht="14.25" customHeight="1">
      <c r="A6" s="17" t="s">
        <v>10</v>
      </c>
      <c r="B6" s="17"/>
      <c r="C6" s="106"/>
      <c r="D6" s="106"/>
      <c r="E6" s="106"/>
      <c r="F6" s="106"/>
      <c r="G6" s="107"/>
      <c r="H6" s="108"/>
      <c r="I6" s="108"/>
      <c r="J6" s="130"/>
      <c r="K6" s="130"/>
      <c r="L6" s="130"/>
    </row>
    <row r="7" spans="1:12" s="105" customFormat="1" ht="18.75" customHeight="1">
      <c r="A7" s="15" t="s">
        <v>57</v>
      </c>
      <c r="B7" s="15"/>
      <c r="C7" s="106"/>
      <c r="D7" s="106"/>
      <c r="E7" s="106"/>
      <c r="F7" s="106"/>
      <c r="G7" s="107"/>
      <c r="H7" s="108"/>
      <c r="I7" s="108"/>
      <c r="J7" s="123"/>
      <c r="K7" s="123"/>
      <c r="L7" s="123"/>
    </row>
    <row r="8" spans="1:15" s="8" customFormat="1" ht="22.5">
      <c r="A8" s="22" t="s">
        <v>63</v>
      </c>
      <c r="B8" s="23">
        <v>60</v>
      </c>
      <c r="C8" s="23">
        <v>2</v>
      </c>
      <c r="D8" s="23">
        <v>2</v>
      </c>
      <c r="E8" s="23">
        <v>2025</v>
      </c>
      <c r="F8" s="23">
        <v>500</v>
      </c>
      <c r="G8" s="24" t="s">
        <v>64</v>
      </c>
      <c r="H8" s="25">
        <v>1.15</v>
      </c>
      <c r="I8" s="25"/>
      <c r="J8" s="25">
        <f>SUM(B8*C8*D8*H8/1000)</f>
        <v>0.276</v>
      </c>
      <c r="K8" s="23">
        <f>SUM(J8*E8)</f>
        <v>558.9000000000001</v>
      </c>
      <c r="L8" s="26">
        <f>+J8*'[1]Electric Bills'!$J$34*12+K8*'[1]Electric Bills'!$J$35</f>
        <v>54.08461795810577</v>
      </c>
      <c r="M8" s="90"/>
      <c r="O8" s="89"/>
    </row>
    <row r="9" spans="1:13" s="8" customFormat="1" ht="22.5">
      <c r="A9" s="22" t="s">
        <v>65</v>
      </c>
      <c r="B9" s="23">
        <v>60</v>
      </c>
      <c r="C9" s="23">
        <v>4</v>
      </c>
      <c r="D9" s="23">
        <v>2</v>
      </c>
      <c r="E9" s="23">
        <v>2025</v>
      </c>
      <c r="F9" s="23">
        <v>2025</v>
      </c>
      <c r="G9" s="24" t="s">
        <v>64</v>
      </c>
      <c r="H9" s="25">
        <v>1.15</v>
      </c>
      <c r="I9" s="25"/>
      <c r="J9" s="25">
        <f>SUM(B9*C9*D9*H9/1000)</f>
        <v>0.552</v>
      </c>
      <c r="K9" s="23">
        <f>SUM(J9*E9)</f>
        <v>1117.8000000000002</v>
      </c>
      <c r="L9" s="26">
        <f>+J9*'[1]Electric Bills'!$J$34*12+K9*'[1]Electric Bills'!$J$35</f>
        <v>108.16923591621153</v>
      </c>
      <c r="M9" s="90"/>
    </row>
    <row r="10" spans="1:13" s="94" customFormat="1" ht="22.5">
      <c r="A10" s="93" t="s">
        <v>11</v>
      </c>
      <c r="B10" s="33"/>
      <c r="C10" s="47"/>
      <c r="D10" s="47"/>
      <c r="E10" s="47"/>
      <c r="F10" s="47"/>
      <c r="G10" s="47"/>
      <c r="H10" s="47"/>
      <c r="I10" s="47"/>
      <c r="J10" s="46">
        <f>SUM(J8:J9)</f>
        <v>0.8280000000000001</v>
      </c>
      <c r="K10" s="47">
        <f>SUM(K8:K9)</f>
        <v>1676.7000000000003</v>
      </c>
      <c r="L10" s="47">
        <f>SUM(L8:L9)</f>
        <v>162.25385387431731</v>
      </c>
      <c r="M10" s="95"/>
    </row>
    <row r="11" spans="1:12" ht="12.75">
      <c r="A11" s="17" t="s">
        <v>12</v>
      </c>
      <c r="B11" s="18"/>
      <c r="C11" s="18"/>
      <c r="D11" s="18"/>
      <c r="E11" s="18"/>
      <c r="F11" s="18"/>
      <c r="G11" s="19"/>
      <c r="H11" s="20"/>
      <c r="I11" s="20"/>
      <c r="J11" s="20"/>
      <c r="K11" s="21"/>
      <c r="L11" s="26"/>
    </row>
    <row r="12" spans="1:12" s="8" customFormat="1" ht="22.5">
      <c r="A12" s="22" t="s">
        <v>66</v>
      </c>
      <c r="B12" s="23">
        <v>95</v>
      </c>
      <c r="C12" s="23">
        <v>7</v>
      </c>
      <c r="D12" s="23">
        <v>2</v>
      </c>
      <c r="E12" s="23">
        <v>2025</v>
      </c>
      <c r="F12" s="23">
        <v>2025</v>
      </c>
      <c r="G12" s="24" t="s">
        <v>67</v>
      </c>
      <c r="H12" s="25">
        <v>1.15</v>
      </c>
      <c r="I12" s="25"/>
      <c r="J12" s="25">
        <f>SUM(B12*C12*D12*H12/1000)</f>
        <v>1.5294999999999999</v>
      </c>
      <c r="K12" s="23">
        <f>SUM(J12*E12)</f>
        <v>3097.2374999999997</v>
      </c>
      <c r="L12" s="26">
        <f>+J12*'[2]Electric Bills'!$J$34*12+K12*'[2]Electric Bills'!$J$35</f>
        <v>250.71384898403943</v>
      </c>
    </row>
    <row r="13" spans="1:12" s="8" customFormat="1" ht="22.5">
      <c r="A13" s="91" t="s">
        <v>68</v>
      </c>
      <c r="B13" s="23">
        <v>100</v>
      </c>
      <c r="C13" s="23">
        <v>1</v>
      </c>
      <c r="D13" s="23">
        <v>1</v>
      </c>
      <c r="E13" s="23">
        <v>2025</v>
      </c>
      <c r="F13" s="23">
        <v>2025</v>
      </c>
      <c r="G13" s="24" t="s">
        <v>64</v>
      </c>
      <c r="H13" s="25">
        <v>1</v>
      </c>
      <c r="I13" s="25"/>
      <c r="J13" s="25">
        <f>SUM(B13*C13*D13*H13/1000)</f>
        <v>0.1</v>
      </c>
      <c r="K13" s="23">
        <f>SUM(J13*E13)</f>
        <v>202.5</v>
      </c>
      <c r="L13" s="26">
        <f>+J13*'[2]Electric Bills'!$J$34*12+K13*'[2]Electric Bills'!$J$35</f>
        <v>16.391882901865934</v>
      </c>
    </row>
    <row r="14" spans="1:12" s="8" customFormat="1" ht="22.5">
      <c r="A14" s="91" t="s">
        <v>69</v>
      </c>
      <c r="B14" s="23">
        <v>95</v>
      </c>
      <c r="C14" s="23">
        <v>1</v>
      </c>
      <c r="D14" s="23">
        <v>2</v>
      </c>
      <c r="E14" s="23">
        <v>2025</v>
      </c>
      <c r="F14" s="23">
        <f>+E14</f>
        <v>2025</v>
      </c>
      <c r="G14" s="24" t="s">
        <v>67</v>
      </c>
      <c r="H14" s="25">
        <v>1</v>
      </c>
      <c r="I14" s="25"/>
      <c r="J14" s="25">
        <f>SUM(B14*C14*D14*H14/1000)</f>
        <v>0.19</v>
      </c>
      <c r="K14" s="23">
        <f>SUM(J14*E14)</f>
        <v>384.75</v>
      </c>
      <c r="L14" s="26">
        <f>+J14*'[2]Electric Bills'!$J$34*12+K14*'[2]Electric Bills'!$J$35</f>
        <v>31.144577513545272</v>
      </c>
    </row>
    <row r="15" spans="1:12" s="8" customFormat="1" ht="11.25">
      <c r="A15" s="91" t="s">
        <v>70</v>
      </c>
      <c r="B15" s="23">
        <v>150</v>
      </c>
      <c r="C15" s="23">
        <v>8</v>
      </c>
      <c r="D15" s="23">
        <v>1</v>
      </c>
      <c r="E15" s="23">
        <v>2025</v>
      </c>
      <c r="F15" s="23">
        <f>+E15</f>
        <v>2025</v>
      </c>
      <c r="G15" s="24" t="s">
        <v>67</v>
      </c>
      <c r="H15" s="25">
        <v>1.15</v>
      </c>
      <c r="I15" s="25"/>
      <c r="J15" s="25">
        <f>SUM(B15*C15*D15*H15/1000)</f>
        <v>1.38</v>
      </c>
      <c r="K15" s="23">
        <f>SUM(J15*E15)</f>
        <v>2794.5</v>
      </c>
      <c r="L15" s="26">
        <f>+J15*'[2]Electric Bills'!$J$34*12+K15*'[2]Electric Bills'!$J$35</f>
        <v>226.20798404574987</v>
      </c>
    </row>
    <row r="16" spans="1:12" s="94" customFormat="1" ht="22.5">
      <c r="A16" s="93" t="s">
        <v>13</v>
      </c>
      <c r="B16" s="33"/>
      <c r="C16" s="47"/>
      <c r="D16" s="47"/>
      <c r="E16" s="47"/>
      <c r="F16" s="47"/>
      <c r="G16" s="47"/>
      <c r="H16" s="47"/>
      <c r="I16" s="47"/>
      <c r="J16" s="46">
        <f>SUM(J12:J15)</f>
        <v>3.1994999999999996</v>
      </c>
      <c r="K16" s="47">
        <f>SUM(K12:K15)</f>
        <v>6478.987499999999</v>
      </c>
      <c r="L16" s="47">
        <f>SUM(L12:L15)</f>
        <v>524.4582934452005</v>
      </c>
    </row>
    <row r="17" spans="1:12" ht="12.75">
      <c r="A17" s="86" t="s">
        <v>14</v>
      </c>
      <c r="B17" s="30"/>
      <c r="C17" s="30"/>
      <c r="D17" s="30"/>
      <c r="E17" s="30"/>
      <c r="F17" s="30"/>
      <c r="G17" s="31"/>
      <c r="H17" s="32"/>
      <c r="I17" s="32"/>
      <c r="J17" s="28">
        <f>J16+J10</f>
        <v>4.0275</v>
      </c>
      <c r="K17" s="28">
        <f>K16+K10</f>
        <v>8155.6875</v>
      </c>
      <c r="L17" s="28">
        <f>L16+L10</f>
        <v>686.7121473195178</v>
      </c>
    </row>
    <row r="18" spans="1:12" ht="12.75">
      <c r="A18" s="9" t="s">
        <v>15</v>
      </c>
      <c r="B18" s="2"/>
      <c r="C18" s="1"/>
      <c r="D18" s="1"/>
      <c r="E18" s="1"/>
      <c r="F18" s="1"/>
      <c r="G18" s="3"/>
      <c r="H18" s="4"/>
      <c r="I18" s="4"/>
      <c r="J18" s="41"/>
      <c r="K18" s="42"/>
      <c r="L18" s="40"/>
    </row>
    <row r="19" spans="1:12" ht="32.25">
      <c r="A19" s="11" t="s">
        <v>16</v>
      </c>
      <c r="B19" s="10" t="s">
        <v>17</v>
      </c>
      <c r="C19" s="10" t="s">
        <v>18</v>
      </c>
      <c r="D19" s="10" t="s">
        <v>19</v>
      </c>
      <c r="E19" s="10" t="s">
        <v>20</v>
      </c>
      <c r="F19" s="10" t="s">
        <v>21</v>
      </c>
      <c r="G19" s="43" t="s">
        <v>22</v>
      </c>
      <c r="H19" s="14" t="s">
        <v>61</v>
      </c>
      <c r="I19" s="14" t="s">
        <v>24</v>
      </c>
      <c r="J19" s="14" t="s">
        <v>7</v>
      </c>
      <c r="K19" s="16" t="s">
        <v>8</v>
      </c>
      <c r="L19" s="11" t="s">
        <v>9</v>
      </c>
    </row>
    <row r="20" spans="1:12" ht="12.75">
      <c r="A20" s="17" t="s">
        <v>12</v>
      </c>
      <c r="B20" s="23"/>
      <c r="C20" s="44"/>
      <c r="D20" s="44"/>
      <c r="E20" s="45"/>
      <c r="F20" s="45"/>
      <c r="G20" s="24"/>
      <c r="H20" s="25"/>
      <c r="I20" s="25"/>
      <c r="J20" s="126" t="s">
        <v>52</v>
      </c>
      <c r="K20" s="124" t="s">
        <v>49</v>
      </c>
      <c r="L20" s="122" t="s">
        <v>46</v>
      </c>
    </row>
    <row r="21" spans="1:12" ht="22.5" customHeight="1">
      <c r="A21" s="15" t="s">
        <v>58</v>
      </c>
      <c r="B21" s="23"/>
      <c r="C21" s="80"/>
      <c r="D21" s="80"/>
      <c r="E21" s="81"/>
      <c r="F21" s="81"/>
      <c r="G21" s="82"/>
      <c r="H21" s="83"/>
      <c r="I21" s="25"/>
      <c r="J21" s="125"/>
      <c r="K21" s="125"/>
      <c r="L21" s="123"/>
    </row>
    <row r="22" spans="1:12" s="8" customFormat="1" ht="11.25">
      <c r="A22" s="92" t="s">
        <v>71</v>
      </c>
      <c r="B22" s="23">
        <v>75</v>
      </c>
      <c r="C22" s="23">
        <v>2</v>
      </c>
      <c r="D22" s="23">
        <v>2025</v>
      </c>
      <c r="E22" s="24">
        <v>0.4</v>
      </c>
      <c r="F22" s="24">
        <v>0.6</v>
      </c>
      <c r="G22" s="24">
        <v>0.9</v>
      </c>
      <c r="H22" s="25">
        <f>VLOOKUP(B22,'[3]Motor Efficiencies'!$A$2:$B$22,2)</f>
        <v>0.941</v>
      </c>
      <c r="I22" s="23">
        <v>8</v>
      </c>
      <c r="J22" s="25">
        <f>SUM(B22*C22*E22*0.746*G22)/H22</f>
        <v>42.80977683315622</v>
      </c>
      <c r="K22" s="23">
        <f>SUM(J22*D22*F22/G22)</f>
        <v>57793.19872476089</v>
      </c>
      <c r="L22" s="26">
        <f>+J22*'[2]Electric Bills'!$J$34*12+K22*'[2]Electric Bills'!$J$35</f>
        <v>5700.916282374701</v>
      </c>
    </row>
    <row r="23" spans="1:12" s="8" customFormat="1" ht="11.25">
      <c r="A23" s="92" t="s">
        <v>72</v>
      </c>
      <c r="B23" s="23">
        <v>100</v>
      </c>
      <c r="C23" s="23">
        <v>1</v>
      </c>
      <c r="D23" s="23">
        <v>2025</v>
      </c>
      <c r="E23" s="24">
        <v>0.4</v>
      </c>
      <c r="F23" s="24">
        <v>0.6</v>
      </c>
      <c r="G23" s="24">
        <v>0.9</v>
      </c>
      <c r="H23" s="25">
        <f>VLOOKUP(B23,'[3]Motor Efficiencies'!$A$2:$B$22,2)</f>
        <v>0.945</v>
      </c>
      <c r="I23" s="23">
        <v>4</v>
      </c>
      <c r="J23" s="25">
        <f>SUM(B23*C23*E23*0.746*G23)/H23</f>
        <v>28.41904761904762</v>
      </c>
      <c r="K23" s="23">
        <f>SUM(J23*D23*F23/G23)</f>
        <v>38365.71428571429</v>
      </c>
      <c r="L23" s="26">
        <f>+J23*'[2]Electric Bills'!$J$34*12+K23*'[2]Electric Bills'!$J$35</f>
        <v>3784.5236132025357</v>
      </c>
    </row>
    <row r="24" spans="1:12" s="8" customFormat="1" ht="11.25">
      <c r="A24" s="92" t="s">
        <v>73</v>
      </c>
      <c r="B24" s="23">
        <v>15</v>
      </c>
      <c r="C24" s="23">
        <v>1</v>
      </c>
      <c r="D24" s="23">
        <v>2025</v>
      </c>
      <c r="E24" s="24">
        <v>0.4</v>
      </c>
      <c r="F24" s="24">
        <v>0.6</v>
      </c>
      <c r="G24" s="24">
        <v>0.9</v>
      </c>
      <c r="H24" s="25">
        <f>VLOOKUP(B24,'[3]Motor Efficiencies'!$A$2:$B$22,2)</f>
        <v>0.91</v>
      </c>
      <c r="I24" s="23">
        <v>0</v>
      </c>
      <c r="J24" s="25">
        <f>SUM(B24*C24*E24*0.746*G24)/H24</f>
        <v>4.426813186813187</v>
      </c>
      <c r="K24" s="23">
        <f>SUM(J24*D24*F24/G24)</f>
        <v>5976.197802197803</v>
      </c>
      <c r="L24" s="26">
        <f>+J24*'[2]Electric Bills'!$J$34*12+K24*'[2]Electric Bills'!$J$35</f>
        <v>589.5123320565488</v>
      </c>
    </row>
    <row r="25" spans="1:12" s="8" customFormat="1" ht="11.25">
      <c r="A25" s="92" t="s">
        <v>74</v>
      </c>
      <c r="B25" s="23">
        <v>5</v>
      </c>
      <c r="C25" s="23">
        <v>2</v>
      </c>
      <c r="D25" s="23">
        <v>2025</v>
      </c>
      <c r="E25" s="24">
        <v>0.4</v>
      </c>
      <c r="F25" s="24">
        <v>0.8</v>
      </c>
      <c r="G25" s="24">
        <v>1</v>
      </c>
      <c r="H25" s="25">
        <f>VLOOKUP(B25,'[3]Motor Efficiencies'!$A$2:$B$22,2)</f>
        <v>0.875</v>
      </c>
      <c r="I25" s="23">
        <v>0</v>
      </c>
      <c r="J25" s="25">
        <f>SUM(B25*C25*E25*0.746*G25)/H25</f>
        <v>3.410285714285714</v>
      </c>
      <c r="K25" s="23">
        <f>SUM(J25*D25*F25/G25)</f>
        <v>5524.662857142857</v>
      </c>
      <c r="L25" s="26">
        <f>+J25*'[2]Electric Bills'!$J$34*12+K25*'[2]Electric Bills'!$J$35</f>
        <v>496.0897165124931</v>
      </c>
    </row>
    <row r="26" spans="1:12" ht="22.5">
      <c r="A26" s="93" t="s">
        <v>25</v>
      </c>
      <c r="B26" s="33"/>
      <c r="C26" s="47"/>
      <c r="D26" s="47"/>
      <c r="E26" s="47"/>
      <c r="F26" s="47"/>
      <c r="G26" s="47"/>
      <c r="H26" s="47"/>
      <c r="I26" s="44"/>
      <c r="J26" s="47">
        <f>SUM(J22:J25)</f>
        <v>79.06592335330275</v>
      </c>
      <c r="K26" s="47">
        <f>SUM(K22:K25)</f>
        <v>107659.77366981584</v>
      </c>
      <c r="L26" s="34">
        <f>SUM(L22:L25)</f>
        <v>10571.04194414628</v>
      </c>
    </row>
    <row r="27" spans="1:12" ht="12.75">
      <c r="A27" s="77"/>
      <c r="B27" s="119"/>
      <c r="C27" s="119"/>
      <c r="D27" s="119"/>
      <c r="E27" s="119"/>
      <c r="F27" s="119"/>
      <c r="G27" s="119"/>
      <c r="H27" s="119"/>
      <c r="I27" s="120"/>
      <c r="J27" s="119"/>
      <c r="K27" s="119"/>
      <c r="L27" s="121"/>
    </row>
    <row r="28" spans="1:12" ht="12.75">
      <c r="A28" s="77"/>
      <c r="B28" s="2"/>
      <c r="C28" s="1"/>
      <c r="D28" s="1"/>
      <c r="E28" s="1"/>
      <c r="F28" s="1"/>
      <c r="G28" s="3"/>
      <c r="H28" s="4"/>
      <c r="I28" s="4"/>
      <c r="J28" s="6"/>
      <c r="K28" s="8"/>
      <c r="L28" s="114" t="s">
        <v>79</v>
      </c>
    </row>
    <row r="29" spans="1:12" ht="12.75">
      <c r="A29" s="17" t="s">
        <v>26</v>
      </c>
      <c r="B29" s="10"/>
      <c r="C29" s="10"/>
      <c r="D29" s="49"/>
      <c r="E29" s="10"/>
      <c r="F29" s="10"/>
      <c r="G29" s="43"/>
      <c r="H29" s="14"/>
      <c r="I29" s="23"/>
      <c r="J29" s="14"/>
      <c r="K29" s="16"/>
      <c r="L29" s="26"/>
    </row>
    <row r="30" spans="1:12" s="8" customFormat="1" ht="11.25">
      <c r="A30" s="22" t="s">
        <v>75</v>
      </c>
      <c r="B30" s="23">
        <v>2</v>
      </c>
      <c r="C30" s="23">
        <v>8</v>
      </c>
      <c r="D30" s="23">
        <v>8760</v>
      </c>
      <c r="E30" s="24">
        <v>0.9</v>
      </c>
      <c r="F30" s="24">
        <v>0.6</v>
      </c>
      <c r="G30" s="23">
        <v>1</v>
      </c>
      <c r="H30" s="25">
        <f>VLOOKUP(B30,'[3]Motor Efficiencies'!$A$2:$B$22,2)</f>
        <v>0.84</v>
      </c>
      <c r="I30" s="23">
        <v>1</v>
      </c>
      <c r="J30" s="25">
        <f>SUM(B30*C30*E30*0.746*G30)/H30</f>
        <v>12.788571428571428</v>
      </c>
      <c r="K30" s="23">
        <f>SUM(J30*D30*F30/G30)</f>
        <v>67216.73142857142</v>
      </c>
      <c r="L30" s="26">
        <f>+J30*'[1]Electric Bills'!$J$34*12+K30*'[1]Electric Bills'!$J$35</f>
        <v>4465.45332063937</v>
      </c>
    </row>
    <row r="31" spans="1:12" s="8" customFormat="1" ht="11.25">
      <c r="A31" s="22" t="s">
        <v>75</v>
      </c>
      <c r="B31" s="24">
        <v>7.5</v>
      </c>
      <c r="C31" s="23">
        <v>6</v>
      </c>
      <c r="D31" s="23">
        <v>8760</v>
      </c>
      <c r="E31" s="24">
        <v>0.8</v>
      </c>
      <c r="F31" s="24">
        <v>0.6</v>
      </c>
      <c r="G31" s="23">
        <v>1</v>
      </c>
      <c r="H31" s="25">
        <f>VLOOKUP(B31,'[3]Motor Efficiencies'!$A$2:$B$22,2)</f>
        <v>0.895</v>
      </c>
      <c r="I31" s="23">
        <v>1</v>
      </c>
      <c r="J31" s="25">
        <f>SUM(B31*C31*E31*0.746*G31)/H31</f>
        <v>30.006703910614526</v>
      </c>
      <c r="K31" s="23">
        <f>SUM(J31*D31*F31/G31)</f>
        <v>157715.23575418993</v>
      </c>
      <c r="L31" s="26">
        <f>+J31*'[1]Electric Bills'!$J$34*12+K31*'[1]Electric Bills'!$J$35</f>
        <v>10477.59997021528</v>
      </c>
    </row>
    <row r="32" spans="1:12" s="94" customFormat="1" ht="22.5">
      <c r="A32" s="93" t="s">
        <v>27</v>
      </c>
      <c r="B32" s="33"/>
      <c r="C32" s="47"/>
      <c r="D32" s="47"/>
      <c r="E32" s="46"/>
      <c r="F32" s="47"/>
      <c r="G32" s="47"/>
      <c r="H32" s="47"/>
      <c r="I32" s="44"/>
      <c r="J32" s="47">
        <f>SUM(J30:J31)</f>
        <v>42.795275339185956</v>
      </c>
      <c r="K32" s="47">
        <f>SUM(K30:K31)</f>
        <v>224931.96718276135</v>
      </c>
      <c r="L32" s="47">
        <f>SUM(L30:L31)</f>
        <v>14943.05329085465</v>
      </c>
    </row>
    <row r="33" spans="1:12" ht="12.75">
      <c r="A33" s="86" t="s">
        <v>28</v>
      </c>
      <c r="B33" s="50"/>
      <c r="C33" s="50"/>
      <c r="D33" s="50"/>
      <c r="E33" s="50"/>
      <c r="F33" s="50"/>
      <c r="G33" s="50"/>
      <c r="H33" s="50"/>
      <c r="I33" s="50"/>
      <c r="J33" s="96">
        <f>J32+J26</f>
        <v>121.8611986924887</v>
      </c>
      <c r="K33" s="96">
        <f>K32+K26</f>
        <v>332591.7408525772</v>
      </c>
      <c r="L33" s="96">
        <f>L32+L26</f>
        <v>25514.095235000932</v>
      </c>
    </row>
    <row r="34" spans="1:12" ht="12.75">
      <c r="A34" s="85" t="s">
        <v>29</v>
      </c>
      <c r="B34" s="2"/>
      <c r="C34" s="1"/>
      <c r="D34" s="1"/>
      <c r="E34" s="1"/>
      <c r="F34" s="1"/>
      <c r="G34" s="52"/>
      <c r="H34" s="4"/>
      <c r="I34" s="4"/>
      <c r="J34" s="5"/>
      <c r="K34" s="42"/>
      <c r="L34" s="51"/>
    </row>
    <row r="35" spans="1:12" ht="32.25">
      <c r="A35" s="11" t="s">
        <v>2</v>
      </c>
      <c r="B35" s="10" t="s">
        <v>30</v>
      </c>
      <c r="C35" s="10" t="s">
        <v>18</v>
      </c>
      <c r="D35" s="10" t="s">
        <v>31</v>
      </c>
      <c r="E35" s="10" t="s">
        <v>22</v>
      </c>
      <c r="F35" s="10" t="s">
        <v>19</v>
      </c>
      <c r="G35" s="103"/>
      <c r="H35" s="104"/>
      <c r="I35" s="104"/>
      <c r="J35" s="14" t="s">
        <v>7</v>
      </c>
      <c r="K35" s="16" t="s">
        <v>8</v>
      </c>
      <c r="L35" s="11" t="s">
        <v>9</v>
      </c>
    </row>
    <row r="36" spans="1:12" ht="45">
      <c r="A36" s="15" t="s">
        <v>59</v>
      </c>
      <c r="B36" s="10"/>
      <c r="C36" s="10"/>
      <c r="D36" s="10"/>
      <c r="E36" s="10"/>
      <c r="F36" s="10"/>
      <c r="G36" s="103"/>
      <c r="H36" s="104"/>
      <c r="I36" s="104"/>
      <c r="J36" s="109" t="s">
        <v>51</v>
      </c>
      <c r="K36" s="110" t="s">
        <v>50</v>
      </c>
      <c r="L36" s="78" t="s">
        <v>46</v>
      </c>
    </row>
    <row r="37" spans="1:12" s="97" customFormat="1" ht="22.5">
      <c r="A37" s="22" t="s">
        <v>76</v>
      </c>
      <c r="B37" s="23">
        <v>1</v>
      </c>
      <c r="C37" s="23">
        <v>3</v>
      </c>
      <c r="D37" s="23">
        <v>8</v>
      </c>
      <c r="E37" s="24">
        <v>1</v>
      </c>
      <c r="F37" s="23">
        <v>2000</v>
      </c>
      <c r="G37" s="19"/>
      <c r="H37" s="20"/>
      <c r="I37" s="20"/>
      <c r="J37" s="53">
        <f>+SUM(B37*C37*12*E37)/D37</f>
        <v>4.5</v>
      </c>
      <c r="K37" s="55">
        <f>+SUM(J37*F37/E37)</f>
        <v>9000</v>
      </c>
      <c r="L37" s="26">
        <f>+J37*'[2]Electric Bills'!$J$34*12+K37*'[2]Electric Bills'!$J$35</f>
        <v>732.5096855434501</v>
      </c>
    </row>
    <row r="38" spans="1:12" ht="12.75">
      <c r="A38" s="27" t="s">
        <v>32</v>
      </c>
      <c r="B38" s="48">
        <f>SUMPRODUCT(B37,C37)</f>
        <v>3</v>
      </c>
      <c r="C38" s="48"/>
      <c r="D38" s="48">
        <f>SUMPRODUCT(B37,C37,D37)/B38</f>
        <v>8</v>
      </c>
      <c r="E38" s="56"/>
      <c r="F38" s="56"/>
      <c r="G38" s="31"/>
      <c r="H38" s="32"/>
      <c r="I38" s="32"/>
      <c r="J38" s="57"/>
      <c r="K38" s="58"/>
      <c r="L38" s="26"/>
    </row>
    <row r="39" spans="1:12" ht="12.75">
      <c r="A39" s="59" t="s">
        <v>33</v>
      </c>
      <c r="B39" s="60"/>
      <c r="C39" s="60"/>
      <c r="D39" s="60">
        <f>D38/3.412</f>
        <v>2.3446658851113718</v>
      </c>
      <c r="E39" s="61"/>
      <c r="F39" s="61"/>
      <c r="G39" s="31"/>
      <c r="H39" s="32"/>
      <c r="I39" s="32"/>
      <c r="J39" s="62"/>
      <c r="K39" s="58"/>
      <c r="L39" s="26"/>
    </row>
    <row r="40" spans="1:12" ht="12.75">
      <c r="A40" s="27" t="s">
        <v>34</v>
      </c>
      <c r="B40" s="63"/>
      <c r="C40" s="64"/>
      <c r="D40" s="30"/>
      <c r="E40" s="30"/>
      <c r="F40" s="30"/>
      <c r="G40" s="31"/>
      <c r="H40" s="32"/>
      <c r="I40" s="32"/>
      <c r="J40" s="48">
        <f>SUM(J37:J39)</f>
        <v>4.5</v>
      </c>
      <c r="K40" s="98">
        <f>SUM(K37:K39)</f>
        <v>9000</v>
      </c>
      <c r="L40" s="29">
        <f>SUM(J40:K40)</f>
        <v>9004.5</v>
      </c>
    </row>
    <row r="41" spans="1:12" ht="12.75">
      <c r="A41" s="85" t="s">
        <v>35</v>
      </c>
      <c r="B41" s="2"/>
      <c r="C41" s="1"/>
      <c r="D41" s="1"/>
      <c r="E41" s="1"/>
      <c r="F41" s="1"/>
      <c r="G41" s="3"/>
      <c r="H41" s="3"/>
      <c r="I41" s="3"/>
      <c r="J41" s="5"/>
      <c r="K41" s="42"/>
      <c r="L41" s="51"/>
    </row>
    <row r="42" spans="1:12" ht="32.25">
      <c r="A42" s="11" t="s">
        <v>16</v>
      </c>
      <c r="B42" s="10" t="s">
        <v>17</v>
      </c>
      <c r="C42" s="10" t="s">
        <v>18</v>
      </c>
      <c r="D42" s="10" t="s">
        <v>19</v>
      </c>
      <c r="E42" s="10" t="s">
        <v>20</v>
      </c>
      <c r="F42" s="10" t="s">
        <v>21</v>
      </c>
      <c r="G42" s="43" t="s">
        <v>22</v>
      </c>
      <c r="H42" s="14" t="s">
        <v>23</v>
      </c>
      <c r="I42" s="14" t="s">
        <v>36</v>
      </c>
      <c r="J42" s="14" t="s">
        <v>7</v>
      </c>
      <c r="K42" s="16" t="s">
        <v>8</v>
      </c>
      <c r="L42" s="11" t="s">
        <v>9</v>
      </c>
    </row>
    <row r="43" spans="1:12" ht="45">
      <c r="A43" s="22" t="s">
        <v>60</v>
      </c>
      <c r="B43" s="54"/>
      <c r="C43" s="54"/>
      <c r="D43" s="54"/>
      <c r="E43" s="54"/>
      <c r="F43" s="54"/>
      <c r="G43" s="19"/>
      <c r="H43" s="19"/>
      <c r="I43" s="19"/>
      <c r="J43" s="79" t="s">
        <v>48</v>
      </c>
      <c r="K43" s="84" t="s">
        <v>49</v>
      </c>
      <c r="L43" s="78" t="s">
        <v>46</v>
      </c>
    </row>
    <row r="44" spans="1:12" s="8" customFormat="1" ht="11.25">
      <c r="A44" s="22" t="s">
        <v>77</v>
      </c>
      <c r="B44" s="23">
        <v>15</v>
      </c>
      <c r="C44" s="23">
        <v>1</v>
      </c>
      <c r="D44" s="23">
        <v>2025</v>
      </c>
      <c r="E44" s="24">
        <v>0.4</v>
      </c>
      <c r="F44" s="24">
        <v>0.8</v>
      </c>
      <c r="G44" s="99">
        <v>1</v>
      </c>
      <c r="H44" s="25">
        <f>VLOOKUP(B44,'[3]Motor Efficiencies'!$A$2:$B$22,2)</f>
        <v>0.91</v>
      </c>
      <c r="I44" s="23">
        <v>0</v>
      </c>
      <c r="J44" s="53">
        <f>SUM(B44*C44*E44*0.746*G44)/H44</f>
        <v>4.918681318681318</v>
      </c>
      <c r="K44" s="55">
        <f>SUM(J44*D44*F44/G44)</f>
        <v>7968.263736263736</v>
      </c>
      <c r="L44" s="26">
        <f>+J44*'[1]Electric Bills'!$J$34*12+K44*'[1]Electric Bills'!$J$35</f>
        <v>869.3933730476119</v>
      </c>
    </row>
    <row r="45" spans="1:12" s="100" customFormat="1" ht="11.25">
      <c r="A45" s="22" t="s">
        <v>78</v>
      </c>
      <c r="B45" s="23">
        <v>20</v>
      </c>
      <c r="C45" s="23">
        <v>2</v>
      </c>
      <c r="D45" s="23">
        <v>2025</v>
      </c>
      <c r="E45" s="24">
        <v>0.4</v>
      </c>
      <c r="F45" s="24">
        <v>0.8</v>
      </c>
      <c r="G45" s="99">
        <v>1</v>
      </c>
      <c r="H45" s="25">
        <f>VLOOKUP(B45,'[3]Motor Efficiencies'!$A$2:$B$22,2)</f>
        <v>0.91</v>
      </c>
      <c r="I45" s="23">
        <v>3</v>
      </c>
      <c r="J45" s="53">
        <f>SUM(B45*C45*E45*0.746*G45)/H45</f>
        <v>13.116483516483516</v>
      </c>
      <c r="K45" s="55">
        <f>SUM(J45*D45*F45/G45)</f>
        <v>21248.703296703297</v>
      </c>
      <c r="L45" s="26">
        <f>+J45*'[2]Electric Bills'!$J$34*12+K45*'[2]Electric Bills'!$J$35</f>
        <v>1908.0373712018966</v>
      </c>
    </row>
    <row r="46" spans="1:12" ht="12.75">
      <c r="A46" s="86" t="s">
        <v>37</v>
      </c>
      <c r="B46" s="56"/>
      <c r="C46" s="56"/>
      <c r="D46" s="56"/>
      <c r="E46" s="30"/>
      <c r="F46" s="30"/>
      <c r="G46" s="31"/>
      <c r="H46" s="31"/>
      <c r="I46" s="31"/>
      <c r="J46" s="101">
        <f>SUM(J44:J45)</f>
        <v>18.035164835164835</v>
      </c>
      <c r="K46" s="101">
        <f>SUM(K44:K45)</f>
        <v>29216.967032967033</v>
      </c>
      <c r="L46" s="101">
        <f>SUM(L44:L45)</f>
        <v>2777.4307442495083</v>
      </c>
    </row>
    <row r="47" spans="1:12" ht="12.75">
      <c r="A47" s="35"/>
      <c r="B47" s="36"/>
      <c r="C47" s="65"/>
      <c r="D47" s="36"/>
      <c r="E47" s="36"/>
      <c r="F47" s="36"/>
      <c r="G47" s="37"/>
      <c r="H47" s="38"/>
      <c r="I47" s="38"/>
      <c r="J47" s="39"/>
      <c r="K47" s="66"/>
      <c r="L47" s="67"/>
    </row>
    <row r="48" spans="1:12" ht="12.75">
      <c r="A48" s="87" t="s">
        <v>38</v>
      </c>
      <c r="B48" s="18"/>
      <c r="C48" s="18"/>
      <c r="D48" s="68"/>
      <c r="E48" s="68"/>
      <c r="F48" s="68"/>
      <c r="G48" s="69"/>
      <c r="H48" s="53"/>
      <c r="I48" s="53"/>
      <c r="J48" s="55">
        <f>J46+J40+J33+J17</f>
        <v>148.42386352765354</v>
      </c>
      <c r="K48" s="55">
        <f>K46+K40+K33+K17</f>
        <v>378964.3953855442</v>
      </c>
      <c r="L48" s="55">
        <f>L46+L40+L33+L17</f>
        <v>37982.73812656995</v>
      </c>
    </row>
    <row r="49" spans="1:12" ht="12.75">
      <c r="A49" s="87" t="s">
        <v>39</v>
      </c>
      <c r="B49" s="18"/>
      <c r="C49" s="18"/>
      <c r="D49" s="68"/>
      <c r="E49" s="68"/>
      <c r="F49" s="68"/>
      <c r="G49" s="19">
        <v>0.1</v>
      </c>
      <c r="H49" s="20"/>
      <c r="I49" s="20"/>
      <c r="J49" s="71">
        <f>$G49*J48</f>
        <v>14.842386352765354</v>
      </c>
      <c r="K49" s="74">
        <f>$G49*K48</f>
        <v>37896.43953855443</v>
      </c>
      <c r="L49" s="74">
        <f>$G49*L48</f>
        <v>3798.2738126569952</v>
      </c>
    </row>
    <row r="50" spans="1:12" ht="12.75">
      <c r="A50" s="87" t="s">
        <v>40</v>
      </c>
      <c r="B50" s="30"/>
      <c r="C50" s="18"/>
      <c r="D50" s="68"/>
      <c r="E50" s="68"/>
      <c r="F50" s="68"/>
      <c r="G50" s="69"/>
      <c r="H50" s="53"/>
      <c r="I50" s="53"/>
      <c r="J50" s="72">
        <f>J49+J48</f>
        <v>163.26624988041888</v>
      </c>
      <c r="K50" s="72">
        <f>K49+K48</f>
        <v>416860.8349240986</v>
      </c>
      <c r="L50" s="72">
        <f>L49+L48</f>
        <v>41781.01193922695</v>
      </c>
    </row>
    <row r="51" spans="1:12" ht="12.75">
      <c r="A51" s="87" t="s">
        <v>41</v>
      </c>
      <c r="B51" s="30"/>
      <c r="C51" s="18"/>
      <c r="D51" s="68"/>
      <c r="E51" s="68"/>
      <c r="F51" s="73"/>
      <c r="G51" s="19"/>
      <c r="H51" s="20"/>
      <c r="I51" s="20"/>
      <c r="J51" s="74">
        <v>145</v>
      </c>
      <c r="K51" s="21"/>
      <c r="L51" s="70"/>
    </row>
    <row r="52" spans="1:12" ht="12.75">
      <c r="A52" s="87" t="s">
        <v>42</v>
      </c>
      <c r="B52" s="30"/>
      <c r="C52" s="18"/>
      <c r="D52" s="68"/>
      <c r="E52" s="68"/>
      <c r="F52" s="73"/>
      <c r="G52" s="69"/>
      <c r="H52" s="53"/>
      <c r="I52" s="53"/>
      <c r="J52" s="74">
        <v>165</v>
      </c>
      <c r="K52" s="55"/>
      <c r="L52" s="70"/>
    </row>
    <row r="53" spans="1:12" ht="12.75">
      <c r="A53" s="87" t="s">
        <v>43</v>
      </c>
      <c r="B53" s="30"/>
      <c r="C53" s="18"/>
      <c r="D53" s="68"/>
      <c r="E53" s="68"/>
      <c r="F53" s="68"/>
      <c r="G53" s="69"/>
      <c r="H53" s="53"/>
      <c r="I53" s="53"/>
      <c r="J53" s="53"/>
      <c r="K53" s="55">
        <v>416900</v>
      </c>
      <c r="L53" s="70">
        <v>41700</v>
      </c>
    </row>
    <row r="54" spans="1:12" ht="12.75">
      <c r="A54" s="86" t="s">
        <v>44</v>
      </c>
      <c r="B54" s="30"/>
      <c r="C54" s="18"/>
      <c r="D54" s="75"/>
      <c r="E54" s="75"/>
      <c r="F54" s="75"/>
      <c r="G54" s="19"/>
      <c r="H54" s="20"/>
      <c r="I54" s="20"/>
      <c r="J54" s="102">
        <f>-(J52-J50)/J52</f>
        <v>-0.0105075764823098</v>
      </c>
      <c r="K54" s="76">
        <f>-(K53-K50)/K53</f>
        <v>-9.394357376198583E-05</v>
      </c>
      <c r="L54" s="76">
        <f>-(L53-L50)/L53</f>
        <v>0.0019427323555623024</v>
      </c>
    </row>
    <row r="55" spans="1:12" ht="12.75">
      <c r="A55" s="115"/>
      <c r="B55" s="36"/>
      <c r="C55" s="1"/>
      <c r="D55" s="116"/>
      <c r="E55" s="116"/>
      <c r="F55" s="116"/>
      <c r="G55" s="3"/>
      <c r="H55" s="4"/>
      <c r="I55" s="4"/>
      <c r="J55" s="117"/>
      <c r="K55" s="118"/>
      <c r="L55" s="118"/>
    </row>
    <row r="56" spans="1:12" ht="12.75">
      <c r="A56" s="77"/>
      <c r="B56" s="2"/>
      <c r="C56" s="1"/>
      <c r="D56" s="1"/>
      <c r="E56" s="1"/>
      <c r="F56" s="1"/>
      <c r="G56" s="3"/>
      <c r="H56" s="4"/>
      <c r="I56" s="4"/>
      <c r="J56" s="6"/>
      <c r="K56" s="8"/>
      <c r="L56" s="114" t="s">
        <v>79</v>
      </c>
    </row>
  </sheetData>
  <mergeCells count="7">
    <mergeCell ref="L20:L21"/>
    <mergeCell ref="K20:K21"/>
    <mergeCell ref="J20:J21"/>
    <mergeCell ref="A1:F1"/>
    <mergeCell ref="J5:J7"/>
    <mergeCell ref="K5:K7"/>
    <mergeCell ref="L5:L7"/>
  </mergeCells>
  <printOptions horizontalCentered="1"/>
  <pageMargins left="1.125" right="0.75" top="0.75" bottom="1.125" header="0.5" footer="0.75"/>
  <pageSetup firstPageNumber="4" useFirstPageNumber="1" horizontalDpi="360" verticalDpi="360" orientation="landscape" scale="96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Klaus-Dieter E. Pawlik</dc:creator>
  <cp:keywords/>
  <dc:description/>
  <cp:lastModifiedBy>Klaus-Dieter E. Pawlik</cp:lastModifiedBy>
  <cp:lastPrinted>2000-10-16T22:25:27Z</cp:lastPrinted>
  <dcterms:created xsi:type="dcterms:W3CDTF">2000-06-11T20:27:26Z</dcterms:created>
  <dcterms:modified xsi:type="dcterms:W3CDTF">2000-07-16T17:22:04Z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